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4550" windowHeight="10035"/>
  </bookViews>
  <sheets>
    <sheet name="CALCS" sheetId="1" r:id="rId1"/>
  </sheets>
  <definedNames>
    <definedName name="_xlnm.Print_Area" localSheetId="0">CALCS!$B$16:$I$46</definedName>
  </definedNames>
  <calcPr calcId="125725"/>
</workbook>
</file>

<file path=xl/calcChain.xml><?xml version="1.0" encoding="utf-8"?>
<calcChain xmlns="http://schemas.openxmlformats.org/spreadsheetml/2006/main">
  <c r="D29" i="1"/>
  <c r="D45" s="1"/>
  <c r="C40"/>
  <c r="C10"/>
  <c r="M5"/>
  <c r="D10" s="1"/>
  <c r="M13"/>
  <c r="N13"/>
  <c r="M12"/>
  <c r="J9"/>
  <c r="J14" s="1"/>
  <c r="B11"/>
  <c r="N8"/>
  <c r="J28"/>
  <c r="J30" s="1"/>
  <c r="H8"/>
  <c r="G8"/>
  <c r="F8"/>
  <c r="E8"/>
  <c r="D8"/>
  <c r="E18"/>
  <c r="F18" s="1"/>
  <c r="G18" s="1"/>
  <c r="H18" s="1"/>
  <c r="D26"/>
  <c r="D20"/>
  <c r="D19"/>
  <c r="D44"/>
  <c r="D21" s="1"/>
  <c r="H35"/>
  <c r="G35"/>
  <c r="F35"/>
  <c r="E35"/>
  <c r="E33"/>
  <c r="D35"/>
  <c r="D33"/>
  <c r="G33" l="1"/>
  <c r="N9"/>
  <c r="N14" s="1"/>
  <c r="J15"/>
  <c r="M14" s="1"/>
  <c r="F10"/>
  <c r="J29"/>
  <c r="J31"/>
  <c r="D22"/>
  <c r="E19"/>
  <c r="F19"/>
  <c r="G19"/>
  <c r="H19"/>
  <c r="H33"/>
  <c r="F33"/>
  <c r="I33" s="1"/>
  <c r="J33" s="1"/>
  <c r="D30" l="1"/>
  <c r="D36" s="1"/>
  <c r="D37" s="1"/>
  <c r="D39" l="1"/>
  <c r="D38"/>
  <c r="E28" s="1"/>
  <c r="D40" l="1"/>
  <c r="D42" s="1"/>
  <c r="E26"/>
  <c r="E29" s="1"/>
  <c r="E31" s="1"/>
  <c r="E20"/>
  <c r="D41" l="1"/>
  <c r="E44"/>
  <c r="E30"/>
  <c r="E36" s="1"/>
  <c r="E37" s="1"/>
  <c r="E45"/>
  <c r="E38" l="1"/>
  <c r="E21"/>
  <c r="E22" s="1"/>
  <c r="F28"/>
  <c r="E39" l="1"/>
  <c r="E40" s="1"/>
  <c r="F20"/>
  <c r="F26"/>
  <c r="F29" s="1"/>
  <c r="E41" l="1"/>
  <c r="E42"/>
  <c r="F31"/>
  <c r="F30"/>
  <c r="F45"/>
  <c r="F44"/>
  <c r="F36" l="1"/>
  <c r="F37" s="1"/>
  <c r="F21"/>
  <c r="F22" s="1"/>
  <c r="F38" l="1"/>
  <c r="G26" s="1"/>
  <c r="G29" s="1"/>
  <c r="F39"/>
  <c r="G28" l="1"/>
  <c r="G20" s="1"/>
  <c r="F40"/>
  <c r="F42" s="1"/>
  <c r="G45"/>
  <c r="G31"/>
  <c r="G30"/>
  <c r="G44"/>
  <c r="F41" l="1"/>
  <c r="G36"/>
  <c r="G37" s="1"/>
  <c r="G21"/>
  <c r="G22" s="1"/>
  <c r="G38" l="1"/>
  <c r="G39"/>
  <c r="H28" l="1"/>
  <c r="H20" s="1"/>
  <c r="H26"/>
  <c r="G40"/>
  <c r="G42" s="1"/>
  <c r="G41" l="1"/>
  <c r="H29"/>
  <c r="H31" s="1"/>
  <c r="H44" l="1"/>
  <c r="H21" s="1"/>
  <c r="H22" s="1"/>
  <c r="H30"/>
  <c r="H36" s="1"/>
  <c r="H37" s="1"/>
  <c r="H45"/>
  <c r="C11"/>
  <c r="D11" s="1"/>
  <c r="F11" s="1"/>
  <c r="H39" l="1"/>
  <c r="H38"/>
  <c r="H40" l="1"/>
  <c r="H42" s="1"/>
  <c r="H41" l="1"/>
  <c r="I40"/>
  <c r="I44" s="1"/>
</calcChain>
</file>

<file path=xl/comments1.xml><?xml version="1.0" encoding="utf-8"?>
<comments xmlns="http://schemas.openxmlformats.org/spreadsheetml/2006/main">
  <authors>
    <author>Emile van Essen</author>
  </authors>
  <commentList>
    <comment ref="D28" authorId="0">
      <text>
        <r>
          <rPr>
            <b/>
            <sz val="9"/>
            <color indexed="81"/>
            <rFont val="Tahoma"/>
            <charset val="1"/>
          </rPr>
          <t>Emile van Essen:</t>
        </r>
        <r>
          <rPr>
            <sz val="9"/>
            <color indexed="81"/>
            <rFont val="Tahoma"/>
            <charset val="1"/>
          </rPr>
          <t xml:space="preserve">
-10% provision makes 6.030.000 net investment
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Emile van Essen:</t>
        </r>
        <r>
          <rPr>
            <sz val="9"/>
            <color indexed="81"/>
            <rFont val="Tahoma"/>
            <family val="2"/>
          </rPr>
          <t xml:space="preserve">
2nd external loan limited to Span of Control: Management, Labour growth: Scaling up step by step!</t>
        </r>
      </text>
    </comment>
    <comment ref="F38" authorId="0">
      <text>
        <r>
          <rPr>
            <b/>
            <sz val="9"/>
            <color indexed="81"/>
            <rFont val="Tahoma"/>
            <charset val="1"/>
          </rPr>
          <t>Emile van Essen:</t>
        </r>
        <r>
          <rPr>
            <sz val="9"/>
            <color indexed="81"/>
            <rFont val="Tahoma"/>
            <charset val="1"/>
          </rPr>
          <t xml:space="preserve">
40% to internal investment
</t>
        </r>
      </text>
    </comment>
    <comment ref="G38" authorId="0">
      <text>
        <r>
          <rPr>
            <b/>
            <sz val="9"/>
            <color indexed="81"/>
            <rFont val="Tahoma"/>
            <charset val="1"/>
          </rPr>
          <t>Emile van Essen:</t>
        </r>
        <r>
          <rPr>
            <sz val="9"/>
            <color indexed="81"/>
            <rFont val="Tahoma"/>
            <charset val="1"/>
          </rPr>
          <t xml:space="preserve">
20%
</t>
        </r>
      </text>
    </comment>
    <comment ref="H38" authorId="0">
      <text>
        <r>
          <rPr>
            <b/>
            <sz val="9"/>
            <color indexed="81"/>
            <rFont val="Tahoma"/>
            <charset val="1"/>
          </rPr>
          <t>Emile van Essen:</t>
        </r>
        <r>
          <rPr>
            <sz val="9"/>
            <color indexed="81"/>
            <rFont val="Tahoma"/>
            <charset val="1"/>
          </rPr>
          <t xml:space="preserve">
10%
</t>
        </r>
      </text>
    </comment>
  </commentList>
</comments>
</file>

<file path=xl/sharedStrings.xml><?xml version="1.0" encoding="utf-8"?>
<sst xmlns="http://schemas.openxmlformats.org/spreadsheetml/2006/main" count="74" uniqueCount="53">
  <si>
    <t>EBITDA</t>
  </si>
  <si>
    <t xml:space="preserve">EBITDA </t>
  </si>
  <si>
    <t>To shareholders 20%</t>
  </si>
  <si>
    <t>Internal inv.</t>
  </si>
  <si>
    <t>Loan pay back</t>
  </si>
  <si>
    <t>EBD</t>
  </si>
  <si>
    <t>Interest on external loan</t>
  </si>
  <si>
    <t>External loan</t>
  </si>
  <si>
    <t>Year</t>
  </si>
  <si>
    <t>Investment sum</t>
  </si>
  <si>
    <t>AM</t>
  </si>
  <si>
    <t>+ EMEA</t>
  </si>
  <si>
    <t>+ N ASIA</t>
  </si>
  <si>
    <t>+ F ASIA</t>
  </si>
  <si>
    <t>AES AREAS</t>
  </si>
  <si>
    <t>3 year int</t>
  </si>
  <si>
    <t>Guaranty</t>
  </si>
  <si>
    <t>EBIDA, Tax at start 37%</t>
  </si>
  <si>
    <t>Stock in value, 1 month</t>
  </si>
  <si>
    <t>Stock out value, 1 month</t>
  </si>
  <si>
    <t>To internal investment, % - Stock in</t>
  </si>
  <si>
    <t>Balance value LOI</t>
  </si>
  <si>
    <t>Balance value Investments, -%/yr</t>
  </si>
  <si>
    <t>Balance sum</t>
  </si>
  <si>
    <t>Employees</t>
  </si>
  <si>
    <t>ESSENCE  SUM CALCULATIONS</t>
  </si>
  <si>
    <t>APOLLO CALCULATIONS</t>
  </si>
  <si>
    <t>EBITDA % of Sales</t>
  </si>
  <si>
    <t>Investments, loans</t>
  </si>
  <si>
    <t>IPO, ..%</t>
  </si>
  <si>
    <t>Result</t>
  </si>
  <si>
    <t>To shareholders AES</t>
  </si>
  <si>
    <t>To shareholders AES IPO</t>
  </si>
  <si>
    <t>IPO %</t>
  </si>
  <si>
    <t>-</t>
  </si>
  <si>
    <t>?</t>
  </si>
  <si>
    <t>Finance Provision</t>
  </si>
  <si>
    <t>Letters Of Intent</t>
  </si>
  <si>
    <t>Classe A Commens Shares</t>
  </si>
  <si>
    <t>Shareholders</t>
  </si>
  <si>
    <t>Robert R. Aronsson</t>
  </si>
  <si>
    <t>$</t>
  </si>
  <si>
    <t>Total shares</t>
  </si>
  <si>
    <t>48 other shareholders</t>
  </si>
  <si>
    <t>Russell C. Jay Family Trust</t>
  </si>
  <si>
    <t>AES Total share value, 10xPayout</t>
  </si>
  <si>
    <t>Share value, rated by AES</t>
  </si>
  <si>
    <t>To Reserves</t>
  </si>
  <si>
    <t>Sales</t>
  </si>
  <si>
    <t>EBDA, Tax at start 37%</t>
  </si>
  <si>
    <t>Internal inv. + 2nd Loan</t>
  </si>
  <si>
    <t>WSF 20%</t>
  </si>
  <si>
    <t>Investment, $ 4M AlSeif, $2,7 External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</si>
</sst>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0.0%"/>
    <numFmt numFmtId="165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/>
    <xf numFmtId="3" fontId="2" fillId="0" borderId="2" xfId="0" applyNumberFormat="1" applyFont="1" applyBorder="1"/>
    <xf numFmtId="3" fontId="0" fillId="0" borderId="2" xfId="0" applyNumberFormat="1" applyBorder="1"/>
    <xf numFmtId="9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0" fillId="0" borderId="0" xfId="0" applyBorder="1"/>
    <xf numFmtId="3" fontId="0" fillId="0" borderId="0" xfId="0" applyNumberFormat="1" applyBorder="1"/>
    <xf numFmtId="9" fontId="0" fillId="0" borderId="0" xfId="2" applyFont="1" applyBorder="1"/>
    <xf numFmtId="165" fontId="0" fillId="0" borderId="0" xfId="1" applyNumberFormat="1" applyFont="1" applyBorder="1"/>
    <xf numFmtId="9" fontId="4" fillId="0" borderId="0" xfId="0" applyNumberFormat="1" applyFont="1"/>
    <xf numFmtId="0" fontId="0" fillId="0" borderId="4" xfId="0" applyBorder="1"/>
    <xf numFmtId="3" fontId="0" fillId="0" borderId="5" xfId="0" applyNumberFormat="1" applyBorder="1"/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165" fontId="0" fillId="0" borderId="0" xfId="0" applyNumberFormat="1" applyBorder="1"/>
    <xf numFmtId="165" fontId="0" fillId="0" borderId="8" xfId="0" applyNumberFormat="1" applyBorder="1"/>
    <xf numFmtId="0" fontId="0" fillId="0" borderId="9" xfId="0" applyBorder="1"/>
    <xf numFmtId="3" fontId="0" fillId="0" borderId="10" xfId="0" applyNumberFormat="1" applyBorder="1"/>
    <xf numFmtId="9" fontId="0" fillId="0" borderId="0" xfId="0" applyNumberFormat="1" applyBorder="1"/>
    <xf numFmtId="9" fontId="0" fillId="0" borderId="8" xfId="2" applyFont="1" applyBorder="1"/>
    <xf numFmtId="9" fontId="4" fillId="0" borderId="0" xfId="0" applyNumberFormat="1" applyFont="1" applyBorder="1"/>
    <xf numFmtId="165" fontId="0" fillId="0" borderId="8" xfId="1" applyNumberFormat="1" applyFont="1" applyBorder="1"/>
    <xf numFmtId="0" fontId="0" fillId="0" borderId="7" xfId="0" applyFill="1" applyBorder="1"/>
    <xf numFmtId="165" fontId="0" fillId="0" borderId="12" xfId="1" applyNumberFormat="1" applyFont="1" applyBorder="1"/>
    <xf numFmtId="0" fontId="0" fillId="0" borderId="14" xfId="0" applyBorder="1"/>
    <xf numFmtId="9" fontId="4" fillId="0" borderId="0" xfId="2" applyFont="1" applyBorder="1"/>
    <xf numFmtId="0" fontId="0" fillId="0" borderId="15" xfId="0" applyBorder="1"/>
    <xf numFmtId="3" fontId="0" fillId="0" borderId="16" xfId="0" applyNumberFormat="1" applyBorder="1"/>
    <xf numFmtId="0" fontId="0" fillId="0" borderId="20" xfId="0" applyBorder="1"/>
    <xf numFmtId="0" fontId="0" fillId="0" borderId="21" xfId="0" applyBorder="1"/>
    <xf numFmtId="9" fontId="0" fillId="0" borderId="3" xfId="0" applyNumberFormat="1" applyBorder="1"/>
    <xf numFmtId="3" fontId="0" fillId="0" borderId="3" xfId="0" applyNumberFormat="1" applyBorder="1"/>
    <xf numFmtId="165" fontId="0" fillId="0" borderId="3" xfId="0" applyNumberFormat="1" applyBorder="1"/>
    <xf numFmtId="165" fontId="0" fillId="0" borderId="3" xfId="1" applyNumberFormat="1" applyFont="1" applyBorder="1"/>
    <xf numFmtId="165" fontId="0" fillId="0" borderId="20" xfId="1" applyNumberFormat="1" applyFont="1" applyBorder="1"/>
    <xf numFmtId="9" fontId="5" fillId="0" borderId="16" xfId="0" applyNumberFormat="1" applyFont="1" applyBorder="1"/>
    <xf numFmtId="165" fontId="0" fillId="0" borderId="5" xfId="1" applyNumberFormat="1" applyFont="1" applyBorder="1"/>
    <xf numFmtId="165" fontId="0" fillId="0" borderId="22" xfId="1" applyNumberFormat="1" applyFont="1" applyBorder="1"/>
    <xf numFmtId="0" fontId="0" fillId="0" borderId="11" xfId="0" applyBorder="1"/>
    <xf numFmtId="165" fontId="0" fillId="0" borderId="17" xfId="1" applyNumberFormat="1" applyFont="1" applyBorder="1"/>
    <xf numFmtId="165" fontId="0" fillId="0" borderId="19" xfId="1" applyNumberFormat="1" applyFont="1" applyBorder="1"/>
    <xf numFmtId="165" fontId="0" fillId="0" borderId="18" xfId="1" applyNumberFormat="1" applyFont="1" applyBorder="1"/>
    <xf numFmtId="9" fontId="4" fillId="0" borderId="3" xfId="0" applyNumberFormat="1" applyFont="1" applyBorder="1"/>
    <xf numFmtId="0" fontId="2" fillId="0" borderId="11" xfId="0" applyFont="1" applyBorder="1"/>
    <xf numFmtId="165" fontId="2" fillId="0" borderId="12" xfId="1" applyNumberFormat="1" applyFont="1" applyBorder="1"/>
    <xf numFmtId="165" fontId="0" fillId="0" borderId="5" xfId="1" applyNumberFormat="1" applyFont="1" applyBorder="1" applyAlignment="1">
      <alignment horizontal="right"/>
    </xf>
    <xf numFmtId="0" fontId="0" fillId="0" borderId="12" xfId="0" applyBorder="1"/>
    <xf numFmtId="3" fontId="0" fillId="0" borderId="3" xfId="0" applyNumberFormat="1" applyBorder="1" applyAlignment="1"/>
    <xf numFmtId="9" fontId="4" fillId="0" borderId="3" xfId="2" applyFont="1" applyBorder="1"/>
    <xf numFmtId="9" fontId="4" fillId="0" borderId="5" xfId="2" applyFont="1" applyFill="1" applyBorder="1"/>
    <xf numFmtId="9" fontId="5" fillId="0" borderId="23" xfId="0" applyNumberFormat="1" applyFont="1" applyBorder="1"/>
    <xf numFmtId="9" fontId="3" fillId="0" borderId="12" xfId="2" applyFont="1" applyFill="1" applyBorder="1"/>
    <xf numFmtId="0" fontId="0" fillId="0" borderId="6" xfId="0" applyBorder="1" applyAlignment="1">
      <alignment horizontal="center"/>
    </xf>
    <xf numFmtId="165" fontId="0" fillId="0" borderId="24" xfId="1" applyNumberFormat="1" applyFont="1" applyBorder="1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right"/>
    </xf>
    <xf numFmtId="9" fontId="4" fillId="0" borderId="8" xfId="2" applyFont="1" applyBorder="1"/>
    <xf numFmtId="9" fontId="5" fillId="0" borderId="0" xfId="0" applyNumberFormat="1" applyFont="1" applyBorder="1" applyAlignment="1">
      <alignment horizontal="right"/>
    </xf>
    <xf numFmtId="165" fontId="1" fillId="0" borderId="0" xfId="1" applyNumberFormat="1" applyFont="1"/>
    <xf numFmtId="165" fontId="1" fillId="0" borderId="0" xfId="1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quotePrefix="1" applyAlignment="1">
      <alignment horizontal="right"/>
    </xf>
    <xf numFmtId="165" fontId="0" fillId="0" borderId="0" xfId="1" applyNumberFormat="1" applyFont="1" applyAlignment="1">
      <alignment horizontal="right"/>
    </xf>
    <xf numFmtId="10" fontId="4" fillId="0" borderId="0" xfId="0" applyNumberFormat="1" applyFont="1"/>
    <xf numFmtId="9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43" fontId="0" fillId="0" borderId="0" xfId="1" quotePrefix="1" applyFont="1" applyAlignment="1">
      <alignment horizontal="right"/>
    </xf>
    <xf numFmtId="0" fontId="0" fillId="0" borderId="0" xfId="0" applyAlignment="1">
      <alignment horizontal="right"/>
    </xf>
    <xf numFmtId="165" fontId="2" fillId="0" borderId="12" xfId="1" applyNumberFormat="1" applyFont="1" applyBorder="1" applyAlignment="1">
      <alignment horizontal="right"/>
    </xf>
    <xf numFmtId="43" fontId="0" fillId="0" borderId="0" xfId="1" applyFont="1" applyAlignment="1">
      <alignment horizontal="right"/>
    </xf>
    <xf numFmtId="10" fontId="6" fillId="0" borderId="0" xfId="0" applyNumberFormat="1" applyFont="1"/>
    <xf numFmtId="165" fontId="0" fillId="0" borderId="1" xfId="1" applyNumberFormat="1" applyFont="1" applyBorder="1"/>
    <xf numFmtId="165" fontId="0" fillId="0" borderId="2" xfId="1" applyNumberFormat="1" applyFont="1" applyBorder="1"/>
    <xf numFmtId="164" fontId="0" fillId="0" borderId="3" xfId="2" applyNumberFormat="1" applyFont="1" applyBorder="1"/>
    <xf numFmtId="10" fontId="3" fillId="0" borderId="0" xfId="0" applyNumberFormat="1" applyFont="1"/>
    <xf numFmtId="164" fontId="6" fillId="0" borderId="0" xfId="2" applyNumberFormat="1" applyFont="1"/>
    <xf numFmtId="10" fontId="3" fillId="0" borderId="1" xfId="0" applyNumberFormat="1" applyFont="1" applyBorder="1"/>
    <xf numFmtId="0" fontId="3" fillId="0" borderId="25" xfId="0" applyFont="1" applyBorder="1"/>
    <xf numFmtId="10" fontId="3" fillId="0" borderId="2" xfId="0" applyNumberFormat="1" applyFont="1" applyBorder="1"/>
    <xf numFmtId="10" fontId="3" fillId="0" borderId="25" xfId="0" applyNumberFormat="1" applyFont="1" applyBorder="1"/>
    <xf numFmtId="165" fontId="0" fillId="0" borderId="25" xfId="1" applyNumberFormat="1" applyFont="1" applyBorder="1"/>
    <xf numFmtId="165" fontId="6" fillId="0" borderId="0" xfId="0" applyNumberFormat="1" applyFont="1"/>
    <xf numFmtId="9" fontId="5" fillId="0" borderId="0" xfId="0" applyNumberFormat="1" applyFont="1"/>
    <xf numFmtId="165" fontId="0" fillId="0" borderId="26" xfId="1" applyNumberFormat="1" applyFont="1" applyBorder="1"/>
    <xf numFmtId="165" fontId="0" fillId="0" borderId="8" xfId="0" applyNumberFormat="1" applyFill="1" applyBorder="1"/>
    <xf numFmtId="165" fontId="0" fillId="0" borderId="27" xfId="0" applyNumberFormat="1" applyBorder="1"/>
    <xf numFmtId="165" fontId="0" fillId="0" borderId="1" xfId="0" applyNumberFormat="1" applyBorder="1"/>
    <xf numFmtId="165" fontId="0" fillId="0" borderId="25" xfId="0" applyNumberFormat="1" applyBorder="1"/>
    <xf numFmtId="3" fontId="0" fillId="0" borderId="28" xfId="0" applyNumberFormat="1" applyBorder="1"/>
    <xf numFmtId="3" fontId="4" fillId="0" borderId="2" xfId="0" applyNumberFormat="1" applyFont="1" applyBorder="1"/>
    <xf numFmtId="0" fontId="0" fillId="0" borderId="3" xfId="0" applyBorder="1" applyAlignment="1">
      <alignment horizontal="right"/>
    </xf>
    <xf numFmtId="9" fontId="11" fillId="0" borderId="0" xfId="0" applyNumberFormat="1" applyFont="1" applyBorder="1" applyAlignment="1">
      <alignment horizontal="right"/>
    </xf>
    <xf numFmtId="9" fontId="11" fillId="0" borderId="0" xfId="2" applyFont="1" applyBorder="1"/>
    <xf numFmtId="9" fontId="11" fillId="0" borderId="12" xfId="0" applyNumberFormat="1" applyFont="1" applyBorder="1" applyAlignment="1">
      <alignment horizontal="right"/>
    </xf>
    <xf numFmtId="9" fontId="5" fillId="0" borderId="13" xfId="2" applyFont="1" applyBorder="1"/>
    <xf numFmtId="165" fontId="3" fillId="0" borderId="12" xfId="1" applyNumberFormat="1" applyFont="1" applyBorder="1"/>
    <xf numFmtId="164" fontId="4" fillId="0" borderId="0" xfId="0" applyNumberFormat="1" applyFont="1" applyBorder="1"/>
    <xf numFmtId="0" fontId="0" fillId="0" borderId="6" xfId="0" applyBorder="1"/>
    <xf numFmtId="0" fontId="0" fillId="0" borderId="8" xfId="0" applyBorder="1"/>
    <xf numFmtId="0" fontId="0" fillId="0" borderId="26" xfId="0" applyBorder="1" applyAlignment="1">
      <alignment horizontal="right"/>
    </xf>
    <xf numFmtId="0" fontId="0" fillId="0" borderId="22" xfId="0" applyBorder="1"/>
    <xf numFmtId="0" fontId="0" fillId="0" borderId="8" xfId="0" applyFill="1" applyBorder="1" applyAlignment="1">
      <alignment horizontal="right"/>
    </xf>
    <xf numFmtId="0" fontId="0" fillId="0" borderId="8" xfId="0" applyBorder="1" applyAlignment="1">
      <alignment horizontal="right"/>
    </xf>
    <xf numFmtId="3" fontId="2" fillId="0" borderId="8" xfId="0" applyNumberFormat="1" applyFont="1" applyBorder="1"/>
    <xf numFmtId="9" fontId="4" fillId="0" borderId="26" xfId="2" applyFont="1" applyBorder="1"/>
    <xf numFmtId="9" fontId="5" fillId="0" borderId="29" xfId="2" applyFont="1" applyBorder="1"/>
    <xf numFmtId="9" fontId="5" fillId="0" borderId="8" xfId="2" applyFont="1" applyBorder="1"/>
    <xf numFmtId="165" fontId="0" fillId="0" borderId="8" xfId="1" applyNumberFormat="1" applyFont="1" applyFill="1" applyBorder="1"/>
    <xf numFmtId="3" fontId="0" fillId="0" borderId="29" xfId="0" applyNumberFormat="1" applyBorder="1"/>
    <xf numFmtId="9" fontId="11" fillId="0" borderId="8" xfId="2" applyFont="1" applyBorder="1"/>
    <xf numFmtId="165" fontId="3" fillId="0" borderId="13" xfId="1" applyNumberFormat="1" applyFont="1" applyBorder="1"/>
    <xf numFmtId="0" fontId="0" fillId="0" borderId="0" xfId="0" applyFill="1" applyBorder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447676</xdr:colOff>
      <xdr:row>0</xdr:row>
      <xdr:rowOff>161924</xdr:rowOff>
    </xdr:from>
    <xdr:to>
      <xdr:col>8</xdr:col>
      <xdr:colOff>9526</xdr:colOff>
      <xdr:row>6</xdr:row>
      <xdr:rowOff>19049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6" y="161924"/>
          <a:ext cx="5124450" cy="1000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46"/>
  <sheetViews>
    <sheetView tabSelected="1" topLeftCell="A14" zoomScaleNormal="100" workbookViewId="0">
      <selection activeCell="D14" sqref="D14"/>
    </sheetView>
  </sheetViews>
  <sheetFormatPr defaultRowHeight="15"/>
  <cols>
    <col min="1" max="1" width="2.5703125" customWidth="1"/>
    <col min="2" max="2" width="32.5703125" customWidth="1"/>
    <col min="3" max="3" width="6.85546875" customWidth="1"/>
    <col min="4" max="4" width="14.42578125" customWidth="1"/>
    <col min="5" max="5" width="14.7109375" customWidth="1"/>
    <col min="6" max="7" width="14.85546875" customWidth="1"/>
    <col min="8" max="8" width="17.7109375" customWidth="1"/>
    <col min="9" max="9" width="14.7109375" customWidth="1"/>
    <col min="10" max="10" width="13.7109375" bestFit="1" customWidth="1"/>
    <col min="12" max="12" width="12" bestFit="1" customWidth="1"/>
    <col min="13" max="13" width="14.7109375" bestFit="1" customWidth="1"/>
  </cols>
  <sheetData>
    <row r="2" spans="2:15">
      <c r="B2" s="62" t="s">
        <v>26</v>
      </c>
      <c r="C2" s="2"/>
    </row>
    <row r="3" spans="2:15">
      <c r="B3" t="s">
        <v>48</v>
      </c>
    </row>
    <row r="4" spans="2:15">
      <c r="B4" t="s">
        <v>0</v>
      </c>
    </row>
    <row r="5" spans="2:15">
      <c r="B5" t="s">
        <v>24</v>
      </c>
      <c r="M5" s="7">
        <f>M8*M11</f>
        <v>158544444</v>
      </c>
    </row>
    <row r="6" spans="2:15">
      <c r="B6" t="s">
        <v>27</v>
      </c>
    </row>
    <row r="7" spans="2:15">
      <c r="B7" t="s">
        <v>28</v>
      </c>
      <c r="D7" s="63">
        <v>23000000</v>
      </c>
      <c r="E7" s="63">
        <v>240000000</v>
      </c>
      <c r="F7" s="64" t="s">
        <v>29</v>
      </c>
      <c r="K7" t="s">
        <v>42</v>
      </c>
      <c r="M7" s="7">
        <v>500000000</v>
      </c>
      <c r="N7" s="6">
        <v>1</v>
      </c>
    </row>
    <row r="8" spans="2:15">
      <c r="B8" s="9" t="s">
        <v>17</v>
      </c>
      <c r="C8" s="6">
        <v>0.67</v>
      </c>
      <c r="D8" s="67">
        <f>10179237*C8</f>
        <v>6820088.79</v>
      </c>
      <c r="E8" s="67">
        <f>304059268*C8</f>
        <v>203719709.56</v>
      </c>
      <c r="F8" s="68">
        <f>883582758*C8</f>
        <v>592000447.86000001</v>
      </c>
      <c r="G8" s="67">
        <f>991689507*C8</f>
        <v>664431969.69000006</v>
      </c>
      <c r="H8" s="67">
        <f>1067065221*C8</f>
        <v>714933698.07000005</v>
      </c>
      <c r="J8">
        <v>50</v>
      </c>
      <c r="K8" t="s">
        <v>39</v>
      </c>
      <c r="M8" s="7">
        <v>26424074</v>
      </c>
      <c r="N8" s="83">
        <f>M8/M7</f>
        <v>5.2848147999999998E-2</v>
      </c>
      <c r="O8" t="s">
        <v>38</v>
      </c>
    </row>
    <row r="9" spans="2:15">
      <c r="B9" t="s">
        <v>31</v>
      </c>
      <c r="D9" s="71" t="s">
        <v>35</v>
      </c>
      <c r="E9" s="71" t="s">
        <v>35</v>
      </c>
      <c r="F9" s="71" t="s">
        <v>35</v>
      </c>
      <c r="G9" s="71" t="s">
        <v>35</v>
      </c>
      <c r="H9" s="71" t="s">
        <v>35</v>
      </c>
      <c r="J9" s="86">
        <f>M9/M8</f>
        <v>0.75406551616529682</v>
      </c>
      <c r="K9" t="s">
        <v>40</v>
      </c>
      <c r="M9" s="81">
        <v>19925483</v>
      </c>
      <c r="N9" s="85" t="e">
        <f>#REF!*J9</f>
        <v>#REF!</v>
      </c>
    </row>
    <row r="10" spans="2:15">
      <c r="B10" t="s">
        <v>45</v>
      </c>
      <c r="C10" s="92" t="e">
        <f>#REF!</f>
        <v>#REF!</v>
      </c>
      <c r="D10" s="71">
        <f>M5</f>
        <v>158544444</v>
      </c>
      <c r="E10" s="71"/>
      <c r="F10" s="71">
        <f>D10*F13/D13</f>
        <v>520818498.54000002</v>
      </c>
      <c r="G10" s="71"/>
      <c r="H10" s="71"/>
      <c r="J10" s="89"/>
      <c r="M10" s="90"/>
      <c r="N10" s="85"/>
    </row>
    <row r="11" spans="2:15">
      <c r="B11" s="75" t="str">
        <f>K9</f>
        <v>Robert R. Aronsson</v>
      </c>
      <c r="C11" s="73">
        <f>J9</f>
        <v>0.75406551616529682</v>
      </c>
      <c r="D11" s="91">
        <f>D10*C11</f>
        <v>119552898</v>
      </c>
      <c r="E11" s="74"/>
      <c r="F11" s="91">
        <f>D11*F13/D13</f>
        <v>392731269.93000001</v>
      </c>
      <c r="G11" s="74"/>
      <c r="H11" s="74"/>
      <c r="J11" s="87"/>
      <c r="M11" s="82">
        <v>6</v>
      </c>
      <c r="N11" s="74"/>
    </row>
    <row r="12" spans="2:15">
      <c r="B12" t="s">
        <v>32</v>
      </c>
      <c r="C12" s="69" t="s">
        <v>33</v>
      </c>
      <c r="D12" s="70" t="s">
        <v>34</v>
      </c>
      <c r="E12" s="70" t="s">
        <v>34</v>
      </c>
      <c r="F12" s="71" t="s">
        <v>35</v>
      </c>
      <c r="G12" s="71" t="s">
        <v>35</v>
      </c>
      <c r="H12" s="71" t="s">
        <v>35</v>
      </c>
      <c r="J12" s="87"/>
      <c r="M12" s="82">
        <f>M9*M11</f>
        <v>119552898</v>
      </c>
      <c r="N12" s="74"/>
    </row>
    <row r="13" spans="2:15">
      <c r="B13" t="s">
        <v>46</v>
      </c>
      <c r="C13" s="77" t="s">
        <v>41</v>
      </c>
      <c r="D13" s="76">
        <v>6</v>
      </c>
      <c r="E13" s="70"/>
      <c r="F13" s="79">
        <v>19.71</v>
      </c>
      <c r="G13" s="71"/>
      <c r="H13" s="71"/>
      <c r="J13" s="88">
        <v>0.17710000000000001</v>
      </c>
      <c r="K13" t="s">
        <v>44</v>
      </c>
      <c r="M13" s="8">
        <f>M8*J13</f>
        <v>4679703.5054000001</v>
      </c>
      <c r="N13" s="80" t="e">
        <f>J13*#REF!</f>
        <v>#REF!</v>
      </c>
    </row>
    <row r="14" spans="2:15">
      <c r="C14" s="69"/>
      <c r="D14" s="70"/>
      <c r="E14" s="70"/>
      <c r="F14" s="71"/>
      <c r="G14" s="71"/>
      <c r="H14" s="71"/>
      <c r="J14" s="88">
        <f>SUM(J9:J13)</f>
        <v>0.93116551616529686</v>
      </c>
      <c r="K14" t="s">
        <v>43</v>
      </c>
      <c r="M14" s="7">
        <f>M8*J15</f>
        <v>1818887.4945999996</v>
      </c>
      <c r="N14" s="80" t="e">
        <f>#REF!-N9-N13</f>
        <v>#REF!</v>
      </c>
    </row>
    <row r="15" spans="2:15">
      <c r="J15" s="84">
        <f>N7-J14</f>
        <v>6.8834483834703142E-2</v>
      </c>
    </row>
    <row r="16" spans="2:15" ht="15.75" thickBot="1">
      <c r="B16" s="62" t="s">
        <v>25</v>
      </c>
      <c r="D16" s="54"/>
      <c r="E16" s="54"/>
      <c r="F16" s="54"/>
      <c r="G16" s="54"/>
      <c r="H16" s="54"/>
    </row>
    <row r="17" spans="2:11">
      <c r="B17" s="14" t="s">
        <v>14</v>
      </c>
      <c r="C17" s="53" t="s">
        <v>8</v>
      </c>
      <c r="D17" s="16">
        <v>1</v>
      </c>
      <c r="E17" s="16">
        <v>2</v>
      </c>
      <c r="F17" s="16">
        <v>3</v>
      </c>
      <c r="G17" s="16">
        <v>4</v>
      </c>
      <c r="H17" s="60">
        <v>5</v>
      </c>
      <c r="I17" s="47"/>
    </row>
    <row r="18" spans="2:11">
      <c r="B18" s="37" t="s">
        <v>37</v>
      </c>
      <c r="C18" s="56">
        <v>1</v>
      </c>
      <c r="D18" s="41">
        <v>1200000000</v>
      </c>
      <c r="E18" s="41">
        <f>D18*(1+C18)</f>
        <v>2400000000</v>
      </c>
      <c r="F18" s="41">
        <f>E18*(1+C18)</f>
        <v>4800000000</v>
      </c>
      <c r="G18" s="41">
        <f>F18*(1+C18)</f>
        <v>9600000000</v>
      </c>
      <c r="H18" s="45">
        <f>G18*(1+C18)</f>
        <v>19200000000</v>
      </c>
      <c r="I18" s="48"/>
    </row>
    <row r="19" spans="2:11">
      <c r="B19" s="19" t="s">
        <v>21</v>
      </c>
      <c r="C19" s="28">
        <v>0.1</v>
      </c>
      <c r="D19" s="12">
        <f>D18*C19</f>
        <v>120000000</v>
      </c>
      <c r="E19" s="12">
        <f>E18*C19</f>
        <v>240000000</v>
      </c>
      <c r="F19" s="12">
        <f>F18*C19</f>
        <v>480000000</v>
      </c>
      <c r="G19" s="12">
        <f>G18*C19</f>
        <v>960000000</v>
      </c>
      <c r="H19" s="29">
        <f>H18*C19</f>
        <v>1920000000</v>
      </c>
      <c r="I19" s="49"/>
    </row>
    <row r="20" spans="2:11">
      <c r="B20" s="19" t="s">
        <v>22</v>
      </c>
      <c r="C20" s="28">
        <v>0.15</v>
      </c>
      <c r="D20" s="12">
        <f>D28-D28*C20</f>
        <v>5695000</v>
      </c>
      <c r="E20" s="12">
        <f>(E28+D20)*(1-C20)</f>
        <v>7409797.4954545451</v>
      </c>
      <c r="F20" s="12">
        <f>(F28+E20)*(1-C20)</f>
        <v>48191312.012253501</v>
      </c>
      <c r="G20" s="12">
        <f>(G28+F20)*(1-C20)</f>
        <v>140061892.80937648</v>
      </c>
      <c r="H20" s="29">
        <f>(H28+G20)*(1-C20)</f>
        <v>166198100.61001846</v>
      </c>
      <c r="I20" s="49"/>
    </row>
    <row r="21" spans="2:11">
      <c r="B21" s="37" t="s">
        <v>18</v>
      </c>
      <c r="C21" s="50"/>
      <c r="D21" s="41">
        <f>D44</f>
        <v>810810</v>
      </c>
      <c r="E21" s="41">
        <f t="shared" ref="E21:H21" si="0">E44</f>
        <v>13301803.109452734</v>
      </c>
      <c r="F21" s="41">
        <f t="shared" si="0"/>
        <v>80732711.150466561</v>
      </c>
      <c r="G21" s="41">
        <f t="shared" si="0"/>
        <v>242534482.23454192</v>
      </c>
      <c r="H21" s="41">
        <f t="shared" si="0"/>
        <v>320711488.22554761</v>
      </c>
      <c r="I21" s="48"/>
    </row>
    <row r="22" spans="2:11" ht="15.75" thickBot="1">
      <c r="B22" s="51" t="s">
        <v>23</v>
      </c>
      <c r="C22" s="78" t="s">
        <v>41</v>
      </c>
      <c r="D22" s="52">
        <f>SUM(D19:D21)</f>
        <v>126505810</v>
      </c>
      <c r="E22" s="52">
        <f t="shared" ref="E22:H22" si="1">SUM(E19:E21)</f>
        <v>260711600.60490727</v>
      </c>
      <c r="F22" s="52">
        <f t="shared" si="1"/>
        <v>608924023.16272008</v>
      </c>
      <c r="G22" s="52">
        <f t="shared" si="1"/>
        <v>1342596375.0439184</v>
      </c>
      <c r="H22" s="52">
        <f t="shared" si="1"/>
        <v>2406909588.835566</v>
      </c>
      <c r="I22" s="42"/>
    </row>
    <row r="23" spans="2:11" ht="15.75" thickBot="1">
      <c r="C23" s="1"/>
    </row>
    <row r="24" spans="2:11">
      <c r="B24" s="14" t="s">
        <v>14</v>
      </c>
      <c r="C24" s="15"/>
      <c r="D24" s="16" t="s">
        <v>10</v>
      </c>
      <c r="E24" s="16" t="s">
        <v>10</v>
      </c>
      <c r="F24" s="17" t="s">
        <v>11</v>
      </c>
      <c r="G24" s="17" t="s">
        <v>12</v>
      </c>
      <c r="H24" s="18" t="s">
        <v>13</v>
      </c>
      <c r="I24" s="107"/>
    </row>
    <row r="25" spans="2:11">
      <c r="B25" s="19" t="s">
        <v>8</v>
      </c>
      <c r="C25" s="10"/>
      <c r="D25" s="20">
        <v>1</v>
      </c>
      <c r="E25" s="20">
        <v>2</v>
      </c>
      <c r="F25" s="20">
        <v>3</v>
      </c>
      <c r="G25" s="20">
        <v>4</v>
      </c>
      <c r="H25" s="21">
        <v>5</v>
      </c>
      <c r="I25" s="108"/>
    </row>
    <row r="26" spans="2:11">
      <c r="B26" s="37" t="s">
        <v>9</v>
      </c>
      <c r="C26" s="100" t="s">
        <v>41</v>
      </c>
      <c r="D26" s="10">
        <f>D28</f>
        <v>6700000</v>
      </c>
      <c r="E26" s="55">
        <f>D28+E28</f>
        <v>9722408.8181818184</v>
      </c>
      <c r="F26" s="10">
        <f>E26+F28</f>
        <v>59008272.513613753</v>
      </c>
      <c r="G26" s="22">
        <f>F38+F26</f>
        <v>177270657.92415613</v>
      </c>
      <c r="H26" s="23">
        <f>G38+G26</f>
        <v>234410942.30303666</v>
      </c>
      <c r="I26" s="108"/>
    </row>
    <row r="27" spans="2:11">
      <c r="B27" s="19"/>
      <c r="C27" s="9"/>
      <c r="D27" s="3" t="s">
        <v>7</v>
      </c>
      <c r="E27" s="3" t="s">
        <v>50</v>
      </c>
      <c r="F27" s="3" t="s">
        <v>3</v>
      </c>
      <c r="G27" s="3" t="s">
        <v>3</v>
      </c>
      <c r="H27" s="24" t="s">
        <v>3</v>
      </c>
      <c r="I27" s="109" t="s">
        <v>16</v>
      </c>
      <c r="J27" s="121" t="s">
        <v>36</v>
      </c>
      <c r="K27" s="121"/>
    </row>
    <row r="28" spans="2:11">
      <c r="B28" s="37" t="s">
        <v>52</v>
      </c>
      <c r="C28" s="32"/>
      <c r="D28" s="4">
        <v>6700000</v>
      </c>
      <c r="E28" s="99">
        <f>D38+1</f>
        <v>3022408.8181818184</v>
      </c>
      <c r="F28" s="5">
        <f>E38-E35</f>
        <v>49285863.695431933</v>
      </c>
      <c r="G28" s="5">
        <f>F38-F35</f>
        <v>116587385.41054237</v>
      </c>
      <c r="H28" s="25">
        <f>G38-G35</f>
        <v>55465284.378880531</v>
      </c>
      <c r="I28" s="110"/>
      <c r="J28" s="7">
        <f>D28*10%</f>
        <v>670000</v>
      </c>
      <c r="K28" s="6">
        <v>0.1</v>
      </c>
    </row>
    <row r="29" spans="2:11">
      <c r="B29" s="19" t="s">
        <v>48</v>
      </c>
      <c r="C29" s="28">
        <v>1</v>
      </c>
      <c r="D29" s="10">
        <f>17690400*C29</f>
        <v>17690400</v>
      </c>
      <c r="E29" s="10">
        <f>15000000*12*E26/(D28*90%)*C29</f>
        <v>290221158.75169605</v>
      </c>
      <c r="F29" s="10">
        <f>E29*F26/E26*C29</f>
        <v>1761440970.5556343</v>
      </c>
      <c r="G29" s="22">
        <f>F29*G26/F26*C29</f>
        <v>5291661430.5718241</v>
      </c>
      <c r="H29" s="94">
        <f>G29*H26/G26*C29</f>
        <v>6997341561.2846756</v>
      </c>
      <c r="I29" s="111"/>
      <c r="J29" s="7">
        <f>J28*K29</f>
        <v>223333.33333333311</v>
      </c>
      <c r="K29" s="72">
        <v>0.33333333333333298</v>
      </c>
    </row>
    <row r="30" spans="2:11">
      <c r="B30" s="19" t="s">
        <v>1</v>
      </c>
      <c r="C30" s="66" t="s">
        <v>30</v>
      </c>
      <c r="D30" s="10">
        <f>D29*D32</f>
        <v>8041090.9090909092</v>
      </c>
      <c r="E30" s="10">
        <f>E29*E32</f>
        <v>130599521.43826322</v>
      </c>
      <c r="F30" s="12">
        <f>F29*F32</f>
        <v>792648436.75003541</v>
      </c>
      <c r="G30" s="12">
        <f>G29*G32</f>
        <v>2381247643.7573209</v>
      </c>
      <c r="H30" s="94">
        <f>H29*H32</f>
        <v>3148803702.578104</v>
      </c>
      <c r="I30" s="111"/>
      <c r="J30" s="7">
        <f>J28*K30</f>
        <v>268000</v>
      </c>
      <c r="K30" s="13">
        <v>0.4</v>
      </c>
    </row>
    <row r="31" spans="2:11">
      <c r="B31" s="19" t="s">
        <v>24</v>
      </c>
      <c r="C31" s="26"/>
      <c r="D31" s="10">
        <v>30</v>
      </c>
      <c r="E31" s="12">
        <f>E29/D29*D31</f>
        <v>492.16720721695845</v>
      </c>
      <c r="F31" s="12">
        <f>F29/E29*E31</f>
        <v>2987.1132996805627</v>
      </c>
      <c r="G31" s="12">
        <f t="shared" ref="G31:H31" si="2">G29/F29*F31</f>
        <v>8973.7848164628685</v>
      </c>
      <c r="H31" s="117">
        <f t="shared" si="2"/>
        <v>11866.336930682193</v>
      </c>
      <c r="I31" s="111"/>
      <c r="J31" s="7">
        <f>J28*K31</f>
        <v>134000</v>
      </c>
      <c r="K31" s="13">
        <v>0.2</v>
      </c>
    </row>
    <row r="32" spans="2:11">
      <c r="B32" s="19" t="s">
        <v>1</v>
      </c>
      <c r="C32" s="26"/>
      <c r="D32" s="33">
        <v>0.45454545454545453</v>
      </c>
      <c r="E32" s="33">
        <v>0.45</v>
      </c>
      <c r="F32" s="33">
        <v>0.45</v>
      </c>
      <c r="G32" s="33">
        <v>0.45</v>
      </c>
      <c r="H32" s="65">
        <v>0.45</v>
      </c>
      <c r="I32" s="112" t="s">
        <v>15</v>
      </c>
    </row>
    <row r="33" spans="2:11">
      <c r="B33" s="30" t="s">
        <v>6</v>
      </c>
      <c r="C33" s="106">
        <v>6.5000000000000002E-2</v>
      </c>
      <c r="D33" s="10">
        <f>D28*C33</f>
        <v>435500</v>
      </c>
      <c r="E33" s="10">
        <f>D28*C33</f>
        <v>435500</v>
      </c>
      <c r="F33" s="12">
        <f>(D28-E35)*C33</f>
        <v>326625</v>
      </c>
      <c r="G33" s="12">
        <f>(D28-E35-F35)*C33</f>
        <v>217750</v>
      </c>
      <c r="H33" s="29">
        <f>(D28-E35-F35-G35)*C33</f>
        <v>108875</v>
      </c>
      <c r="I33" s="113">
        <f>D33+E33+F33</f>
        <v>1197625</v>
      </c>
      <c r="J33" s="1">
        <f>I33</f>
        <v>1197625</v>
      </c>
      <c r="K33" s="6"/>
    </row>
    <row r="34" spans="2:11">
      <c r="B34" s="19" t="s">
        <v>4</v>
      </c>
      <c r="C34" s="26"/>
      <c r="D34" s="11">
        <v>0</v>
      </c>
      <c r="E34" s="11">
        <v>0.25</v>
      </c>
      <c r="F34" s="11">
        <v>0.25</v>
      </c>
      <c r="G34" s="11">
        <v>0.25</v>
      </c>
      <c r="H34" s="27">
        <v>0.25</v>
      </c>
      <c r="I34" s="108"/>
      <c r="J34" s="7"/>
      <c r="K34" s="6"/>
    </row>
    <row r="35" spans="2:11">
      <c r="B35" s="19" t="s">
        <v>4</v>
      </c>
      <c r="C35" s="26"/>
      <c r="D35" s="10">
        <f>D28*D34</f>
        <v>0</v>
      </c>
      <c r="E35" s="10">
        <f>D28*E34</f>
        <v>1675000</v>
      </c>
      <c r="F35" s="10">
        <f>F34*D28</f>
        <v>1675000</v>
      </c>
      <c r="G35" s="12">
        <f>G34*D28</f>
        <v>1675000</v>
      </c>
      <c r="H35" s="29">
        <f>H34*D28</f>
        <v>1675000</v>
      </c>
      <c r="I35" s="108"/>
      <c r="J35" s="7"/>
      <c r="K35" s="6"/>
    </row>
    <row r="36" spans="2:11">
      <c r="B36" s="30" t="s">
        <v>49</v>
      </c>
      <c r="C36" s="28">
        <v>0.63</v>
      </c>
      <c r="D36" s="10">
        <f>(D30-D33)*C36</f>
        <v>4791522.2727272725</v>
      </c>
      <c r="E36" s="10">
        <f>(E30-E33)*C36</f>
        <v>82003333.506105825</v>
      </c>
      <c r="F36" s="22">
        <f>(F30-F33)*C36</f>
        <v>499162741.40252233</v>
      </c>
      <c r="G36" s="22">
        <f>(G30-G33)*C36</f>
        <v>1500048833.0671122</v>
      </c>
      <c r="H36" s="23">
        <f>(H30-H33)*C36</f>
        <v>1983677741.3742056</v>
      </c>
      <c r="I36" s="112" t="s">
        <v>15</v>
      </c>
    </row>
    <row r="37" spans="2:11">
      <c r="B37" s="37" t="s">
        <v>5</v>
      </c>
      <c r="C37" s="38"/>
      <c r="D37" s="39">
        <f>D36-D35</f>
        <v>4791522.2727272725</v>
      </c>
      <c r="E37" s="39">
        <f>E36-E35</f>
        <v>80328333.506105825</v>
      </c>
      <c r="F37" s="40">
        <f>F36-F35</f>
        <v>497487741.40252233</v>
      </c>
      <c r="G37" s="22">
        <f>G36-G35</f>
        <v>1498373833.0671122</v>
      </c>
      <c r="H37" s="23">
        <f>H36-H35</f>
        <v>1982002741.3742056</v>
      </c>
      <c r="I37" s="108"/>
    </row>
    <row r="38" spans="2:11">
      <c r="B38" s="19" t="s">
        <v>20</v>
      </c>
      <c r="C38" s="28">
        <v>0.8</v>
      </c>
      <c r="D38" s="10">
        <f>D37*C38-D44</f>
        <v>3022407.8181818184</v>
      </c>
      <c r="E38" s="10">
        <f>E37*C38-E44</f>
        <v>50960863.695431933</v>
      </c>
      <c r="F38" s="96">
        <f>F37*C38/2-F44</f>
        <v>118262385.41054237</v>
      </c>
      <c r="G38" s="95">
        <f>G37*I38-G44</f>
        <v>57140284.378880531</v>
      </c>
      <c r="H38" s="93">
        <f>H37*I38/2+H44-G44</f>
        <v>276377280.12842631</v>
      </c>
      <c r="I38" s="114">
        <v>0.2</v>
      </c>
    </row>
    <row r="39" spans="2:11">
      <c r="B39" s="19" t="s">
        <v>47</v>
      </c>
      <c r="C39" s="28">
        <v>0.1</v>
      </c>
      <c r="D39" s="10">
        <f>D37*C39</f>
        <v>479152.22727272729</v>
      </c>
      <c r="E39" s="10">
        <f>E37*C39</f>
        <v>8032833.3506105831</v>
      </c>
      <c r="F39" s="97">
        <f>F37*C39</f>
        <v>49748774.140252233</v>
      </c>
      <c r="G39" s="22">
        <f>G37*C39</f>
        <v>149837383.30671123</v>
      </c>
      <c r="H39" s="29">
        <f>H37*C39</f>
        <v>198200274.13742056</v>
      </c>
      <c r="I39" s="65">
        <v>0.1</v>
      </c>
    </row>
    <row r="40" spans="2:11" ht="15.75" thickBot="1">
      <c r="B40" s="34" t="s">
        <v>2</v>
      </c>
      <c r="C40" s="43">
        <f>1-C38-C39</f>
        <v>9.999999999999995E-2</v>
      </c>
      <c r="D40" s="35">
        <f>D37-D38-D44-D39</f>
        <v>479152.22727272683</v>
      </c>
      <c r="E40" s="35">
        <f>E37-E38-E44-E39</f>
        <v>8032833.3506105756</v>
      </c>
      <c r="F40" s="98">
        <f>F37-F38-F44-F39</f>
        <v>248743870.70126116</v>
      </c>
      <c r="G40" s="35">
        <f>G37-G38-G44-G39</f>
        <v>1048861683.1469786</v>
      </c>
      <c r="H40" s="118">
        <f>H37-H38-H44-H39</f>
        <v>1186713698.8828111</v>
      </c>
      <c r="I40" s="115">
        <f>H40/H37</f>
        <v>0.5987447313317098</v>
      </c>
    </row>
    <row r="41" spans="2:11" ht="15.75" thickTop="1">
      <c r="B41" s="19"/>
      <c r="C41" s="101" t="s">
        <v>51</v>
      </c>
      <c r="D41" s="102">
        <f>D40*0.2/6000000</f>
        <v>1.5971740909090898E-2</v>
      </c>
      <c r="E41" s="102">
        <f t="shared" ref="E41:H41" si="3">E40*0.2/6000000</f>
        <v>0.26776111168701922</v>
      </c>
      <c r="F41" s="102">
        <f t="shared" si="3"/>
        <v>8.2914623567087062</v>
      </c>
      <c r="G41" s="102">
        <f t="shared" si="3"/>
        <v>34.96205610489929</v>
      </c>
      <c r="H41" s="119">
        <f t="shared" si="3"/>
        <v>39.5571232960937</v>
      </c>
      <c r="I41" s="116"/>
    </row>
    <row r="42" spans="2:11" ht="15.75" thickBot="1">
      <c r="B42" s="46"/>
      <c r="C42" s="103"/>
      <c r="D42" s="105">
        <f>D40/5</f>
        <v>95830.445454545363</v>
      </c>
      <c r="E42" s="105">
        <f t="shared" ref="E42:H42" si="4">E40/5</f>
        <v>1606566.6701221152</v>
      </c>
      <c r="F42" s="105">
        <f t="shared" si="4"/>
        <v>49748774.140252233</v>
      </c>
      <c r="G42" s="105">
        <f t="shared" si="4"/>
        <v>209772336.62939572</v>
      </c>
      <c r="H42" s="120">
        <f t="shared" si="4"/>
        <v>237342739.77656221</v>
      </c>
      <c r="I42" s="104"/>
    </row>
    <row r="43" spans="2:11" ht="15.75" thickBot="1">
      <c r="B43" s="9"/>
      <c r="C43" s="9"/>
      <c r="D43" s="9"/>
      <c r="E43" s="10"/>
      <c r="F43" s="9"/>
      <c r="H43" s="9"/>
      <c r="I43" s="9"/>
    </row>
    <row r="44" spans="2:11" ht="15.75" thickBot="1">
      <c r="B44" s="14" t="s">
        <v>18</v>
      </c>
      <c r="C44" s="57">
        <v>0.55000000000000004</v>
      </c>
      <c r="D44" s="44">
        <f>D29*C44/12</f>
        <v>810810</v>
      </c>
      <c r="E44" s="44">
        <f>D44/D29*E29</f>
        <v>13301803.109452734</v>
      </c>
      <c r="F44" s="44">
        <f>E44/E29*F29</f>
        <v>80732711.150466561</v>
      </c>
      <c r="G44" s="44">
        <f>F44/F29*G29</f>
        <v>242534482.23454192</v>
      </c>
      <c r="H44" s="61">
        <f>G44/G29*H29</f>
        <v>320711488.22554761</v>
      </c>
      <c r="I44" s="58">
        <f>1-I38-I40</f>
        <v>0.20125526866829024</v>
      </c>
    </row>
    <row r="45" spans="2:11" ht="16.5" thickTop="1" thickBot="1">
      <c r="B45" s="46" t="s">
        <v>19</v>
      </c>
      <c r="C45" s="59">
        <v>1</v>
      </c>
      <c r="D45" s="31">
        <f>D29/12</f>
        <v>1474200</v>
      </c>
      <c r="E45" s="31">
        <f t="shared" ref="E45:H45" si="5">E29/12</f>
        <v>24185096.562641338</v>
      </c>
      <c r="F45" s="31">
        <f t="shared" si="5"/>
        <v>146786747.54630286</v>
      </c>
      <c r="G45" s="31">
        <f t="shared" si="5"/>
        <v>440971785.88098532</v>
      </c>
      <c r="H45" s="31">
        <f t="shared" si="5"/>
        <v>583111796.77372301</v>
      </c>
      <c r="I45" s="36"/>
    </row>
    <row r="46" spans="2:11">
      <c r="B46" s="9"/>
      <c r="C46" s="9"/>
      <c r="D46" s="9"/>
      <c r="E46" s="9"/>
      <c r="F46" s="9"/>
    </row>
  </sheetData>
  <mergeCells count="1">
    <mergeCell ref="J27:K27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CALCS</vt:lpstr>
      <vt:lpstr>CALCS!Afdrukbereik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Emile van Essen</dc:creator>
  <cp:lastModifiedBy>Emile van Essen</cp:lastModifiedBy>
  <cp:lastPrinted>2013-06-07T07:19:50Z</cp:lastPrinted>
  <dcterms:created xsi:type="dcterms:W3CDTF">2013-05-31T10:40:37Z</dcterms:created>
  <dcterms:modified xsi:type="dcterms:W3CDTF">2014-04-26T14:12:55Z</dcterms:modified>
</cp:coreProperties>
</file>